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aire Medical\Cost Calculators\"/>
    </mc:Choice>
  </mc:AlternateContent>
  <xr:revisionPtr revIDLastSave="0" documentId="8_{5FEBAB61-86FD-4B1B-A6D2-78D073F7B5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inuous Flow Patients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C39" i="1"/>
  <c r="B39" i="1"/>
  <c r="B50" i="1"/>
  <c r="B9" i="1"/>
  <c r="C51" i="1"/>
  <c r="C50" i="1"/>
  <c r="B51" i="1"/>
  <c r="B23" i="1"/>
  <c r="B25" i="1" s="1"/>
  <c r="C23" i="1"/>
  <c r="C25" i="1" s="1"/>
  <c r="C59" i="1"/>
  <c r="C58" i="1"/>
  <c r="C30" i="1"/>
  <c r="C32" i="1"/>
  <c r="C15" i="1"/>
  <c r="C9" i="1"/>
  <c r="B30" i="1"/>
  <c r="B32" i="1" s="1"/>
  <c r="B38" i="1" s="1"/>
  <c r="B58" i="1"/>
  <c r="B59" i="1"/>
  <c r="B15" i="1"/>
  <c r="B16" i="1"/>
  <c r="B17" i="1" s="1"/>
  <c r="B18" i="1"/>
  <c r="B19" i="1" s="1"/>
  <c r="C52" i="1" l="1"/>
  <c r="C16" i="1"/>
  <c r="C17" i="1" s="1"/>
  <c r="C38" i="1"/>
  <c r="C60" i="1"/>
  <c r="C61" i="1" s="1"/>
  <c r="C18" i="1"/>
  <c r="C19" i="1" s="1"/>
  <c r="B52" i="1"/>
  <c r="B62" i="1" s="1"/>
  <c r="B63" i="1" s="1"/>
  <c r="C45" i="1"/>
  <c r="C40" i="1"/>
  <c r="C42" i="1" s="1"/>
  <c r="B45" i="1"/>
  <c r="B46" i="1" s="1"/>
  <c r="B40" i="1"/>
  <c r="B42" i="1" s="1"/>
  <c r="C41" i="1"/>
  <c r="C43" i="1" s="1"/>
  <c r="B41" i="1"/>
  <c r="B43" i="1" s="1"/>
  <c r="C62" i="1"/>
  <c r="C63" i="1" s="1"/>
  <c r="C46" i="1" l="1"/>
  <c r="B60" i="1"/>
  <c r="B61" i="1" s="1"/>
  <c r="C44" i="1"/>
  <c r="B44" i="1"/>
</calcChain>
</file>

<file path=xl/sharedStrings.xml><?xml version="1.0" encoding="utf-8"?>
<sst xmlns="http://schemas.openxmlformats.org/spreadsheetml/2006/main" count="56" uniqueCount="48">
  <si>
    <t>Stationary Concentrator E1390</t>
  </si>
  <si>
    <t>Tank Delivery E0431</t>
  </si>
  <si>
    <t>Monthly Revenue</t>
  </si>
  <si>
    <t>Bill Stationary Concentrator E1390</t>
  </si>
  <si>
    <t>Also Bill Portable Concentrator E1392</t>
  </si>
  <si>
    <t>Ammortized monthly cost over 36 months</t>
  </si>
  <si>
    <t>Medicare Revenue (Monthly)</t>
  </si>
  <si>
    <t>Driver Cost for a Single Stop</t>
  </si>
  <si>
    <t>Cost to fill a Cylinder</t>
  </si>
  <si>
    <t>Patient Profile</t>
  </si>
  <si>
    <t>Deliveries per Month</t>
  </si>
  <si>
    <t>Cylinders per Delivery</t>
  </si>
  <si>
    <t>Stationary Concentrator Cost</t>
  </si>
  <si>
    <t>Out of Warranty Repairs on Equipment</t>
  </si>
  <si>
    <t>Monthy Profit</t>
  </si>
  <si>
    <t>Monthly Profit $$</t>
  </si>
  <si>
    <t>Monthly Profit %</t>
  </si>
  <si>
    <t>Monthy Direct Margin</t>
  </si>
  <si>
    <t>Competitve Bid</t>
  </si>
  <si>
    <t>Rural Area</t>
  </si>
  <si>
    <t>Servicing Tanks &amp; Stationary Concentrator</t>
  </si>
  <si>
    <t>60 Month Total Cost</t>
  </si>
  <si>
    <t>Price for Sequal Eclipse 5 year warranty</t>
  </si>
  <si>
    <t>Total Cost to Buy Cylinders (15 units @ $25.00)</t>
  </si>
  <si>
    <t>Conserving Device</t>
  </si>
  <si>
    <t>Regulator Device</t>
  </si>
  <si>
    <t>Total Reimbursement 36 Months</t>
  </si>
  <si>
    <t>Total Profitability Per Patient</t>
  </si>
  <si>
    <t>Total Profitability Per Patient 60 Month</t>
  </si>
  <si>
    <t>Total Profitability Per Patient 60 Months</t>
  </si>
  <si>
    <t>Sequal 5 Transportable (E1390 $ E1392)</t>
  </si>
  <si>
    <t>Price for Annual Filter (5 Filters @ $25.00)</t>
  </si>
  <si>
    <t>60 Month Total Equipment Cost</t>
  </si>
  <si>
    <t>Monthly Operating Cost Deliveries &amp; Content</t>
  </si>
  <si>
    <t>Monthly Profit First 36 Months</t>
  </si>
  <si>
    <t>Monthly Profit Last 24 Months</t>
  </si>
  <si>
    <t>Monthly Profit % First 36 Months</t>
  </si>
  <si>
    <t>Monthly Profit % Last 24 Months</t>
  </si>
  <si>
    <t>60 Month Profit Average %</t>
  </si>
  <si>
    <t>Delivery Driver Charge Annual (5 x $35.00)</t>
  </si>
  <si>
    <t>Driver Cost for 5 Stops (5 @ $35.00)</t>
  </si>
  <si>
    <t>Additional Battery Upgrade if Requested $200.00</t>
  </si>
  <si>
    <t>Price for Companion 5 / Freestlye Bundle</t>
  </si>
  <si>
    <t>Price For Extra Freestyle Battery $130.00</t>
  </si>
  <si>
    <t>Stationary Concentrator Filter (2 Filters @ $4.00)</t>
  </si>
  <si>
    <t xml:space="preserve">Price for Extended Warranty 5YR $430.00 </t>
  </si>
  <si>
    <t>Stationary Concentrator Filters (2 @ $4.00)</t>
  </si>
  <si>
    <t>Caire Medical Bundle Package (Companion 5L Stationary with Freestyle Comfort Portable Oxygen Concentrator Dual 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</si>
</sst>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1" xfId="0" applyBorder="1"/>
    <xf numFmtId="9" fontId="2" fillId="0" borderId="1" xfId="3" applyFont="1" applyBorder="1"/>
    <xf numFmtId="44" fontId="2" fillId="0" borderId="1" xfId="0" applyNumberFormat="1" applyFont="1" applyBorder="1"/>
    <xf numFmtId="0" fontId="2" fillId="0" borderId="1" xfId="0" applyFont="1" applyBorder="1"/>
    <xf numFmtId="0" fontId="0" fillId="0" borderId="0" xfId="0" applyBorder="1"/>
    <xf numFmtId="44" fontId="2" fillId="0" borderId="0" xfId="0" applyNumberFormat="1" applyFont="1" applyBorder="1"/>
    <xf numFmtId="0" fontId="0" fillId="0" borderId="1" xfId="0" applyBorder="1" applyAlignment="1">
      <alignment horizontal="left" indent="2"/>
    </xf>
    <xf numFmtId="164" fontId="1" fillId="2" borderId="1" xfId="1" applyNumberFormat="1" applyFont="1" applyFill="1" applyBorder="1"/>
    <xf numFmtId="44" fontId="0" fillId="2" borderId="1" xfId="0" applyNumberFormat="1" applyFont="1" applyFill="1" applyBorder="1"/>
    <xf numFmtId="8" fontId="0" fillId="2" borderId="1" xfId="0" applyNumberFormat="1" applyFill="1" applyBorder="1"/>
    <xf numFmtId="8" fontId="0" fillId="0" borderId="1" xfId="0" applyNumberFormat="1" applyFill="1" applyBorder="1"/>
    <xf numFmtId="8" fontId="2" fillId="0" borderId="1" xfId="0" applyNumberFormat="1" applyFont="1" applyBorder="1"/>
    <xf numFmtId="8" fontId="0" fillId="2" borderId="1" xfId="0" applyNumberFormat="1" applyFont="1" applyFill="1" applyBorder="1"/>
    <xf numFmtId="8" fontId="0" fillId="0" borderId="1" xfId="0" applyNumberFormat="1" applyFont="1" applyFill="1" applyBorder="1"/>
    <xf numFmtId="8" fontId="2" fillId="0" borderId="1" xfId="2" applyNumberFormat="1" applyFont="1" applyBorder="1"/>
    <xf numFmtId="0" fontId="3" fillId="0" borderId="0" xfId="0" applyFont="1" applyAlignment="1">
      <alignment horizontal="center"/>
    </xf>
    <xf numFmtId="9" fontId="2" fillId="0" borderId="0" xfId="3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164" fontId="2" fillId="0" borderId="1" xfId="1" applyNumberFormat="1" applyFont="1" applyFill="1" applyBorder="1"/>
    <xf numFmtId="0" fontId="0" fillId="3" borderId="0" xfId="0" applyFill="1"/>
    <xf numFmtId="0" fontId="2" fillId="0" borderId="1" xfId="0" applyFont="1" applyFill="1" applyBorder="1"/>
    <xf numFmtId="42" fontId="0" fillId="0" borderId="1" xfId="4" applyFont="1" applyBorder="1"/>
    <xf numFmtId="0" fontId="2" fillId="3" borderId="1" xfId="0" applyFont="1" applyFill="1" applyBorder="1"/>
    <xf numFmtId="44" fontId="2" fillId="3" borderId="1" xfId="2" applyFont="1" applyFill="1" applyBorder="1"/>
    <xf numFmtId="0" fontId="0" fillId="0" borderId="1" xfId="0" applyFill="1" applyBorder="1"/>
    <xf numFmtId="44" fontId="2" fillId="0" borderId="1" xfId="2" applyFont="1" applyBorder="1"/>
    <xf numFmtId="44" fontId="0" fillId="0" borderId="1" xfId="2" applyFont="1" applyFill="1" applyBorder="1"/>
    <xf numFmtId="44" fontId="0" fillId="2" borderId="1" xfId="2" applyFont="1" applyFill="1" applyBorder="1"/>
    <xf numFmtId="0" fontId="2" fillId="4" borderId="1" xfId="0" applyFont="1" applyFill="1" applyBorder="1"/>
    <xf numFmtId="44" fontId="2" fillId="4" borderId="1" xfId="2" applyFont="1" applyFill="1" applyBorder="1"/>
    <xf numFmtId="0" fontId="0" fillId="4" borderId="0" xfId="0" applyFill="1"/>
  </cellXfs>
  <cellStyles count="5">
    <cellStyle name="Comma" xfId="1" builtinId="3"/>
    <cellStyle name="Currency" xfId="2" builtinId="4"/>
    <cellStyle name="Currency [0]" xfId="4" builtinId="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22</xdr:row>
      <xdr:rowOff>9525</xdr:rowOff>
    </xdr:from>
    <xdr:to>
      <xdr:col>9</xdr:col>
      <xdr:colOff>409575</xdr:colOff>
      <xdr:row>46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68240" y="4063365"/>
          <a:ext cx="3769995" cy="4410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- Added costs of  documenting and tracking lot numbers of cylinders.</a:t>
          </a:r>
        </a:p>
        <a:p>
          <a:r>
            <a:rPr lang="en-US" sz="1100" b="1"/>
            <a:t>- Monthly Maintenance</a:t>
          </a:r>
        </a:p>
        <a:p>
          <a:r>
            <a:rPr lang="en-US" sz="1100" b="1"/>
            <a:t>- Last</a:t>
          </a:r>
          <a:r>
            <a:rPr lang="en-US" sz="1100" b="1" baseline="0"/>
            <a:t> minute request for cylinder delivery </a:t>
          </a:r>
        </a:p>
        <a:p>
          <a:r>
            <a:rPr lang="en-US" sz="1100" b="1" baseline="0"/>
            <a:t>-Patient's use tanks at home when they should be using concentrator</a:t>
          </a:r>
        </a:p>
        <a:p>
          <a:r>
            <a:rPr lang="en-US" sz="1100" b="1" baseline="0"/>
            <a:t>- Lost cylinders</a:t>
          </a:r>
        </a:p>
        <a:p>
          <a:r>
            <a:rPr lang="en-US" sz="1100" b="1" baseline="0"/>
            <a:t>- Cylinders need to be hydrotested every 5 years</a:t>
          </a:r>
        </a:p>
        <a:p>
          <a:r>
            <a:rPr lang="en-US" sz="1100" b="1" baseline="0"/>
            <a:t>-Patient's transporting multiple cylinders in their car can be a hazard</a:t>
          </a:r>
        </a:p>
        <a:p>
          <a:r>
            <a:rPr lang="en-US" sz="1100" b="1" baseline="0"/>
            <a:t>-Need to provide additional solutions for travel</a:t>
          </a:r>
        </a:p>
        <a:p>
          <a:r>
            <a:rPr lang="en-US" sz="1100" b="1" baseline="0"/>
            <a:t>- Larger oxygen cylinders are heavy and not made for easy mobility</a:t>
          </a:r>
        </a:p>
        <a:p>
          <a:r>
            <a:rPr lang="en-US" sz="1100" b="1" baseline="0"/>
            <a:t>- </a:t>
          </a:r>
          <a:r>
            <a:rPr lang="en-US" sz="1100" b="1"/>
            <a:t>Assumes no out of warranty cost on equipment</a:t>
          </a:r>
          <a:r>
            <a:rPr lang="en-US" sz="1100" b="1" baseline="0"/>
            <a:t> and only one regulator needed - often not the case</a:t>
          </a:r>
        </a:p>
        <a:p>
          <a:r>
            <a:rPr lang="en-US" sz="1100" b="1" baseline="0"/>
            <a:t>- Difficulty of changing regulator/conserving device from tank to tank</a:t>
          </a:r>
        </a:p>
      </xdr:txBody>
    </xdr:sp>
    <xdr:clientData/>
  </xdr:twoCellAnchor>
  <xdr:twoCellAnchor>
    <xdr:from>
      <xdr:col>3</xdr:col>
      <xdr:colOff>259081</xdr:colOff>
      <xdr:row>5</xdr:row>
      <xdr:rowOff>161925</xdr:rowOff>
    </xdr:from>
    <xdr:to>
      <xdr:col>9</xdr:col>
      <xdr:colOff>426721</xdr:colOff>
      <xdr:row>19</xdr:row>
      <xdr:rowOff>15241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30141" y="1076325"/>
          <a:ext cx="3825240" cy="24364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- 5 year warranty bumper</a:t>
          </a:r>
          <a:r>
            <a:rPr lang="en-US" sz="1100" b="1" baseline="0"/>
            <a:t> to bumper available</a:t>
          </a:r>
        </a:p>
        <a:p>
          <a:r>
            <a:rPr lang="en-US" sz="1100" b="1" baseline="0"/>
            <a:t>- AutoSat Technology</a:t>
          </a:r>
        </a:p>
        <a:p>
          <a:r>
            <a:rPr lang="en-US" sz="1100" b="1" baseline="0"/>
            <a:t>- Yearly Maintenance Check</a:t>
          </a:r>
        </a:p>
        <a:p>
          <a:r>
            <a:rPr lang="en-US" sz="1100" b="1" baseline="0"/>
            <a:t>- No need for travel solution</a:t>
          </a:r>
        </a:p>
        <a:p>
          <a:r>
            <a:rPr lang="en-US" sz="1100" b="1" baseline="0"/>
            <a:t>- Small footprint - can carry spares on trucks</a:t>
          </a:r>
        </a:p>
        <a:p>
          <a:r>
            <a:rPr lang="en-US" sz="1100" b="1" baseline="0"/>
            <a:t>- Service calls are 15 minute swap-outs</a:t>
          </a:r>
        </a:p>
        <a:p>
          <a:r>
            <a:rPr lang="en-US" sz="1100" b="1" baseline="0"/>
            <a:t>- 15 minute set-ups can be done at discharge - no OT for    home set-ups</a:t>
          </a:r>
        </a:p>
        <a:p>
          <a:r>
            <a:rPr lang="en-US" sz="1100" b="1" baseline="0"/>
            <a:t>- With 5yr warranty can realize revenue up to 60 months +</a:t>
          </a:r>
        </a:p>
        <a:p>
          <a:r>
            <a:rPr lang="en-US" sz="1100" b="1" baseline="0"/>
            <a:t>- Onboard diagnostic screen helps alleviate unnecessary visits to the patient's home</a:t>
          </a:r>
        </a:p>
        <a:p>
          <a:r>
            <a:rPr lang="en-US" sz="1100" b="1" baseline="0"/>
            <a:t>- EDAT Hardware available for fleet diagnostic capabilities</a:t>
          </a:r>
        </a:p>
        <a:p>
          <a:r>
            <a:rPr lang="en-US" sz="1100" b="1" baseline="0"/>
            <a:t>- Offers .5 - 3 LPM Continious / 1-9 Pulse Dose </a:t>
          </a:r>
        </a:p>
        <a:p>
          <a:r>
            <a:rPr lang="en-US" sz="1100" b="1" baseline="0"/>
            <a:t> </a:t>
          </a:r>
          <a:endParaRPr lang="en-US" sz="1100" b="1"/>
        </a:p>
      </xdr:txBody>
    </xdr:sp>
    <xdr:clientData/>
  </xdr:twoCellAnchor>
  <xdr:twoCellAnchor>
    <xdr:from>
      <xdr:col>0</xdr:col>
      <xdr:colOff>1762125</xdr:colOff>
      <xdr:row>0</xdr:row>
      <xdr:rowOff>133351</xdr:rowOff>
    </xdr:from>
    <xdr:to>
      <xdr:col>9</xdr:col>
      <xdr:colOff>400050</xdr:colOff>
      <xdr:row>4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62125" y="133351"/>
          <a:ext cx="596265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Total Cost of Ownership Comparison 2021</a:t>
          </a:r>
        </a:p>
      </xdr:txBody>
    </xdr:sp>
    <xdr:clientData/>
  </xdr:twoCellAnchor>
  <xdr:twoCellAnchor>
    <xdr:from>
      <xdr:col>3</xdr:col>
      <xdr:colOff>304800</xdr:colOff>
      <xdr:row>49</xdr:row>
      <xdr:rowOff>76200</xdr:rowOff>
    </xdr:from>
    <xdr:to>
      <xdr:col>9</xdr:col>
      <xdr:colOff>438150</xdr:colOff>
      <xdr:row>63</xdr:row>
      <xdr:rowOff>7620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75860" y="8016240"/>
          <a:ext cx="3790950" cy="24917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 -  Improved Patient Outcomes with Small Lightweight Portable concentrator</a:t>
          </a:r>
        </a:p>
        <a:p>
          <a:r>
            <a:rPr lang="en-US" sz="1100" b="1" baseline="0"/>
            <a:t> -  Optional Battery to increase duration time or replacement in the future.</a:t>
          </a:r>
          <a:endParaRPr lang="en-US" sz="1100" b="1"/>
        </a:p>
        <a:p>
          <a:r>
            <a:rPr lang="en-US" sz="1100" b="1"/>
            <a:t>- POC</a:t>
          </a:r>
          <a:r>
            <a:rPr lang="en-US" sz="1100" b="1" baseline="0"/>
            <a:t> can be plugged into any AC/DC outlet for oxygen</a:t>
          </a:r>
        </a:p>
        <a:p>
          <a:r>
            <a:rPr lang="en-US" sz="1100" b="1" baseline="0"/>
            <a:t>- 3 year warranty on both POC and Stationary Concentrator</a:t>
          </a:r>
        </a:p>
        <a:p>
          <a:r>
            <a:rPr lang="en-US" sz="1100" b="1" baseline="0"/>
            <a:t>- UltraSense Technology improves Patient Compliance</a:t>
          </a:r>
        </a:p>
        <a:p>
          <a:r>
            <a:rPr lang="en-US" sz="1100" b="1" baseline="0"/>
            <a:t>- Yearly Maintenance Check</a:t>
          </a:r>
        </a:p>
        <a:p>
          <a:r>
            <a:rPr lang="en-US" sz="1100" b="1" baseline="0"/>
            <a:t>- User Friendly and Simple Design</a:t>
          </a:r>
        </a:p>
        <a:p>
          <a:r>
            <a:rPr lang="en-US" sz="1100" b="1" baseline="0"/>
            <a:t>- No Patient Maintenance Required</a:t>
          </a:r>
        </a:p>
        <a:p>
          <a:endParaRPr lang="en-US" sz="1100" b="1" baseline="0"/>
        </a:p>
        <a:p>
          <a:r>
            <a:rPr lang="en-US" sz="1100" b="1" baseline="0"/>
            <a:t>*Optional Leasing Program Available  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C64"/>
  <sheetViews>
    <sheetView showGridLines="0" tabSelected="1" workbookViewId="0"/>
  </sheetViews>
  <sheetFormatPr defaultRowHeight="15" x14ac:dyDescent="0.25"/>
  <cols>
    <col min="1" max="1" width="45.85546875" customWidth="1"/>
    <col min="2" max="3" width="11.140625" bestFit="1" customWidth="1"/>
  </cols>
  <sheetData>
    <row r="6" spans="1:3" x14ac:dyDescent="0.25">
      <c r="A6" s="1" t="s">
        <v>30</v>
      </c>
      <c r="B6" s="17" t="s">
        <v>19</v>
      </c>
      <c r="C6" s="17" t="s">
        <v>18</v>
      </c>
    </row>
    <row r="7" spans="1:3" x14ac:dyDescent="0.25">
      <c r="A7" s="2" t="s">
        <v>3</v>
      </c>
      <c r="B7" s="11">
        <v>136.22</v>
      </c>
      <c r="C7" s="11">
        <v>103.41</v>
      </c>
    </row>
    <row r="8" spans="1:3" x14ac:dyDescent="0.25">
      <c r="A8" s="2" t="s">
        <v>4</v>
      </c>
      <c r="B8" s="11">
        <v>44.69</v>
      </c>
      <c r="C8" s="11">
        <v>39.159999999999997</v>
      </c>
    </row>
    <row r="9" spans="1:3" x14ac:dyDescent="0.25">
      <c r="A9" s="5" t="s">
        <v>6</v>
      </c>
      <c r="B9" s="13">
        <f>+B8+B7</f>
        <v>180.91</v>
      </c>
      <c r="C9" s="13">
        <f>+C8+C7</f>
        <v>142.57</v>
      </c>
    </row>
    <row r="10" spans="1:3" x14ac:dyDescent="0.25">
      <c r="A10" s="2" t="s">
        <v>22</v>
      </c>
      <c r="B10" s="11">
        <v>1895</v>
      </c>
      <c r="C10" s="11">
        <v>1895</v>
      </c>
    </row>
    <row r="11" spans="1:3" x14ac:dyDescent="0.25">
      <c r="A11" s="2" t="s">
        <v>40</v>
      </c>
      <c r="B11" s="11">
        <v>175</v>
      </c>
      <c r="C11" s="11">
        <v>175</v>
      </c>
    </row>
    <row r="12" spans="1:3" x14ac:dyDescent="0.25">
      <c r="A12" s="2" t="s">
        <v>31</v>
      </c>
      <c r="B12" s="11">
        <v>125</v>
      </c>
      <c r="C12" s="11">
        <v>125</v>
      </c>
    </row>
    <row r="13" spans="1:3" x14ac:dyDescent="0.25">
      <c r="A13" s="2" t="s">
        <v>41</v>
      </c>
      <c r="B13" s="11"/>
      <c r="C13" s="11"/>
    </row>
    <row r="14" spans="1:3" x14ac:dyDescent="0.25">
      <c r="A14" s="5" t="s">
        <v>32</v>
      </c>
      <c r="B14" s="11">
        <f>B13+B12+B13+B10+B11</f>
        <v>2195</v>
      </c>
      <c r="C14" s="11">
        <f>C13+C10+C12+C11</f>
        <v>2195</v>
      </c>
    </row>
    <row r="15" spans="1:3" x14ac:dyDescent="0.25">
      <c r="A15" s="5" t="s">
        <v>5</v>
      </c>
      <c r="B15" s="16">
        <f>+(B13+B10)/36</f>
        <v>52.638888888888886</v>
      </c>
      <c r="C15" s="16">
        <f>+(C13+C10)/36</f>
        <v>52.638888888888886</v>
      </c>
    </row>
    <row r="16" spans="1:3" x14ac:dyDescent="0.25">
      <c r="A16" s="2" t="s">
        <v>15</v>
      </c>
      <c r="B16" s="13">
        <f>+B9-B15</f>
        <v>128.27111111111111</v>
      </c>
      <c r="C16" s="13">
        <f>+C9-C15</f>
        <v>89.931111111111107</v>
      </c>
    </row>
    <row r="17" spans="1:3" x14ac:dyDescent="0.25">
      <c r="A17" s="2" t="s">
        <v>16</v>
      </c>
      <c r="B17" s="3">
        <f>B16/B9</f>
        <v>0.70903272959544039</v>
      </c>
      <c r="C17" s="3">
        <f>C16/C9</f>
        <v>0.63078565694824373</v>
      </c>
    </row>
    <row r="18" spans="1:3" x14ac:dyDescent="0.25">
      <c r="A18" s="24" t="s">
        <v>26</v>
      </c>
      <c r="B18" s="25">
        <f>+B9*36</f>
        <v>6512.76</v>
      </c>
      <c r="C18" s="25">
        <f>+C9*36</f>
        <v>5132.5199999999995</v>
      </c>
    </row>
    <row r="19" spans="1:3" s="23" customFormat="1" x14ac:dyDescent="0.25">
      <c r="A19" s="26" t="s">
        <v>27</v>
      </c>
      <c r="B19" s="27">
        <f>B18-B14</f>
        <v>4317.76</v>
      </c>
      <c r="C19" s="27">
        <f>C18-C14</f>
        <v>2937.5199999999995</v>
      </c>
    </row>
    <row r="20" spans="1:3" x14ac:dyDescent="0.25">
      <c r="A20" s="6"/>
      <c r="B20" s="18"/>
      <c r="C20" s="18"/>
    </row>
    <row r="22" spans="1:3" x14ac:dyDescent="0.25">
      <c r="A22" s="1" t="s">
        <v>20</v>
      </c>
    </row>
    <row r="23" spans="1:3" x14ac:dyDescent="0.25">
      <c r="A23" s="2" t="s">
        <v>0</v>
      </c>
      <c r="B23" s="12">
        <f>+B7</f>
        <v>136.22</v>
      </c>
      <c r="C23" s="12">
        <f>+C7</f>
        <v>103.41</v>
      </c>
    </row>
    <row r="24" spans="1:3" x14ac:dyDescent="0.25">
      <c r="A24" s="2" t="s">
        <v>1</v>
      </c>
      <c r="B24" s="11">
        <v>24.28</v>
      </c>
      <c r="C24" s="11">
        <v>19.98</v>
      </c>
    </row>
    <row r="25" spans="1:3" x14ac:dyDescent="0.25">
      <c r="A25" s="2" t="s">
        <v>2</v>
      </c>
      <c r="B25" s="13">
        <f>+B24+B23</f>
        <v>160.5</v>
      </c>
      <c r="C25" s="13">
        <f>+C24+C23</f>
        <v>123.39</v>
      </c>
    </row>
    <row r="26" spans="1:3" x14ac:dyDescent="0.25">
      <c r="A26" s="2" t="s">
        <v>12</v>
      </c>
      <c r="B26" s="14">
        <v>457</v>
      </c>
      <c r="C26" s="14">
        <v>457</v>
      </c>
    </row>
    <row r="27" spans="1:3" x14ac:dyDescent="0.25">
      <c r="A27" s="2" t="s">
        <v>44</v>
      </c>
      <c r="B27" s="14">
        <v>8</v>
      </c>
      <c r="C27" s="14">
        <v>8</v>
      </c>
    </row>
    <row r="28" spans="1:3" x14ac:dyDescent="0.25">
      <c r="A28" s="2" t="s">
        <v>24</v>
      </c>
      <c r="B28" s="14">
        <v>115</v>
      </c>
      <c r="C28" s="14">
        <v>115</v>
      </c>
    </row>
    <row r="29" spans="1:3" x14ac:dyDescent="0.25">
      <c r="A29" s="2" t="s">
        <v>25</v>
      </c>
      <c r="B29" s="14">
        <v>15</v>
      </c>
      <c r="C29" s="14">
        <v>15</v>
      </c>
    </row>
    <row r="30" spans="1:3" x14ac:dyDescent="0.25">
      <c r="A30" s="2" t="s">
        <v>23</v>
      </c>
      <c r="B30" s="15">
        <f>B29*B37</f>
        <v>60</v>
      </c>
      <c r="C30" s="15">
        <f>C29*C37</f>
        <v>60</v>
      </c>
    </row>
    <row r="31" spans="1:3" x14ac:dyDescent="0.25">
      <c r="A31" s="2" t="s">
        <v>13</v>
      </c>
      <c r="B31" s="11">
        <v>125</v>
      </c>
      <c r="C31" s="11">
        <v>125</v>
      </c>
    </row>
    <row r="32" spans="1:3" x14ac:dyDescent="0.25">
      <c r="A32" s="2" t="s">
        <v>32</v>
      </c>
      <c r="B32" s="13">
        <f>SUM(B26:B31)</f>
        <v>780</v>
      </c>
      <c r="C32" s="13">
        <f>(C28+C26+C31+C30+C27)/36+SUM(C26:C31)</f>
        <v>801.25</v>
      </c>
    </row>
    <row r="33" spans="1:3" x14ac:dyDescent="0.25">
      <c r="A33" s="2" t="s">
        <v>7</v>
      </c>
      <c r="B33" s="10">
        <v>35</v>
      </c>
      <c r="C33" s="10">
        <v>35</v>
      </c>
    </row>
    <row r="34" spans="1:3" x14ac:dyDescent="0.25">
      <c r="A34" s="2" t="s">
        <v>8</v>
      </c>
      <c r="B34" s="10">
        <v>3</v>
      </c>
      <c r="C34" s="10">
        <v>3</v>
      </c>
    </row>
    <row r="35" spans="1:3" x14ac:dyDescent="0.25">
      <c r="A35" s="2" t="s">
        <v>9</v>
      </c>
      <c r="B35" s="4"/>
      <c r="C35" s="4"/>
    </row>
    <row r="36" spans="1:3" x14ac:dyDescent="0.25">
      <c r="A36" s="8" t="s">
        <v>10</v>
      </c>
      <c r="B36" s="9">
        <v>1</v>
      </c>
      <c r="C36" s="9">
        <v>1</v>
      </c>
    </row>
    <row r="37" spans="1:3" x14ac:dyDescent="0.25">
      <c r="A37" s="8" t="s">
        <v>11</v>
      </c>
      <c r="B37" s="9">
        <v>4</v>
      </c>
      <c r="C37" s="9">
        <v>4</v>
      </c>
    </row>
    <row r="38" spans="1:3" x14ac:dyDescent="0.25">
      <c r="A38" s="20" t="s">
        <v>21</v>
      </c>
      <c r="B38" s="22">
        <f>B39*60+B32</f>
        <v>3600</v>
      </c>
      <c r="C38" s="22">
        <f>C39*60+C32</f>
        <v>3621.25</v>
      </c>
    </row>
    <row r="39" spans="1:3" x14ac:dyDescent="0.25">
      <c r="A39" s="21" t="s">
        <v>33</v>
      </c>
      <c r="B39" s="4">
        <f>B33*B36+B34*B37</f>
        <v>47</v>
      </c>
      <c r="C39" s="4">
        <f>C33*C36+C34*C37</f>
        <v>47</v>
      </c>
    </row>
    <row r="40" spans="1:3" x14ac:dyDescent="0.25">
      <c r="A40" s="2" t="s">
        <v>34</v>
      </c>
      <c r="B40" s="29">
        <f>B25-(B32/60)-B39</f>
        <v>100.5</v>
      </c>
      <c r="C40" s="29">
        <f>C25-(B32/60)-C39</f>
        <v>63.39</v>
      </c>
    </row>
    <row r="41" spans="1:3" x14ac:dyDescent="0.25">
      <c r="A41" s="2" t="s">
        <v>35</v>
      </c>
      <c r="B41" s="29">
        <f>B32/60-B39</f>
        <v>-34</v>
      </c>
      <c r="C41" s="29">
        <f>C32/60-B39</f>
        <v>-33.645833333333336</v>
      </c>
    </row>
    <row r="42" spans="1:3" x14ac:dyDescent="0.25">
      <c r="A42" s="2" t="s">
        <v>36</v>
      </c>
      <c r="B42" s="3">
        <f>B40/B25</f>
        <v>0.62616822429906538</v>
      </c>
      <c r="C42" s="3">
        <f>C40/C25</f>
        <v>0.51373693168003887</v>
      </c>
    </row>
    <row r="43" spans="1:3" x14ac:dyDescent="0.25">
      <c r="A43" s="2" t="s">
        <v>37</v>
      </c>
      <c r="B43" s="3">
        <f>B41/B25</f>
        <v>-0.21183800623052959</v>
      </c>
      <c r="C43" s="3">
        <f>C41/C25</f>
        <v>-0.27267876921414486</v>
      </c>
    </row>
    <row r="44" spans="1:3" x14ac:dyDescent="0.25">
      <c r="A44" s="2" t="s">
        <v>38</v>
      </c>
      <c r="B44" s="3">
        <f>AVERAGE(B42:B43)</f>
        <v>0.20716510903426788</v>
      </c>
      <c r="C44" s="3">
        <f>AVERAGE(C42:C43)</f>
        <v>0.12052908123294701</v>
      </c>
    </row>
    <row r="45" spans="1:3" x14ac:dyDescent="0.25">
      <c r="A45" s="28" t="s">
        <v>26</v>
      </c>
      <c r="B45" s="29">
        <f>B25*36</f>
        <v>5778</v>
      </c>
      <c r="C45" s="29">
        <f>C25*36</f>
        <v>4442.04</v>
      </c>
    </row>
    <row r="46" spans="1:3" s="34" customFormat="1" x14ac:dyDescent="0.25">
      <c r="A46" s="32" t="s">
        <v>28</v>
      </c>
      <c r="B46" s="33">
        <f>B45-B38</f>
        <v>2178</v>
      </c>
      <c r="C46" s="33">
        <f>C45-C38</f>
        <v>820.79</v>
      </c>
    </row>
    <row r="47" spans="1:3" x14ac:dyDescent="0.25">
      <c r="A47" s="6"/>
      <c r="B47" s="18"/>
      <c r="C47" s="18"/>
    </row>
    <row r="48" spans="1:3" x14ac:dyDescent="0.25">
      <c r="A48" s="6"/>
      <c r="B48" s="7"/>
      <c r="C48" s="7"/>
    </row>
    <row r="49" spans="1:3" x14ac:dyDescent="0.25">
      <c r="A49" s="1" t="s">
        <v>47</v>
      </c>
    </row>
    <row r="50" spans="1:3" x14ac:dyDescent="0.25">
      <c r="A50" s="2" t="s">
        <v>3</v>
      </c>
      <c r="B50" s="30">
        <f>+B7</f>
        <v>136.22</v>
      </c>
      <c r="C50" s="30">
        <f>+C7</f>
        <v>103.41</v>
      </c>
    </row>
    <row r="51" spans="1:3" x14ac:dyDescent="0.25">
      <c r="A51" s="2" t="s">
        <v>4</v>
      </c>
      <c r="B51" s="30">
        <f>+B8</f>
        <v>44.69</v>
      </c>
      <c r="C51" s="30">
        <f>+C8</f>
        <v>39.159999999999997</v>
      </c>
    </row>
    <row r="52" spans="1:3" x14ac:dyDescent="0.25">
      <c r="A52" s="5" t="s">
        <v>6</v>
      </c>
      <c r="B52" s="29">
        <f>+B51+B50</f>
        <v>180.91</v>
      </c>
      <c r="C52" s="29">
        <f>+C51+C50</f>
        <v>142.57</v>
      </c>
    </row>
    <row r="53" spans="1:3" x14ac:dyDescent="0.25">
      <c r="A53" s="2" t="s">
        <v>42</v>
      </c>
      <c r="B53" s="31">
        <v>1707</v>
      </c>
      <c r="C53" s="31">
        <v>1707</v>
      </c>
    </row>
    <row r="54" spans="1:3" x14ac:dyDescent="0.25">
      <c r="A54" s="2" t="s">
        <v>43</v>
      </c>
      <c r="B54" s="31">
        <v>100</v>
      </c>
      <c r="C54" s="31">
        <v>100</v>
      </c>
    </row>
    <row r="55" spans="1:3" x14ac:dyDescent="0.25">
      <c r="A55" s="2" t="s">
        <v>45</v>
      </c>
      <c r="B55" s="31">
        <v>430</v>
      </c>
      <c r="C55" s="31">
        <v>430</v>
      </c>
    </row>
    <row r="56" spans="1:3" x14ac:dyDescent="0.25">
      <c r="A56" s="2" t="s">
        <v>39</v>
      </c>
      <c r="B56" s="31">
        <v>175</v>
      </c>
      <c r="C56" s="31">
        <v>175</v>
      </c>
    </row>
    <row r="57" spans="1:3" x14ac:dyDescent="0.25">
      <c r="A57" s="2" t="s">
        <v>46</v>
      </c>
      <c r="B57" s="31">
        <v>8</v>
      </c>
      <c r="C57" s="31">
        <v>8</v>
      </c>
    </row>
    <row r="58" spans="1:3" x14ac:dyDescent="0.25">
      <c r="A58" s="19" t="s">
        <v>21</v>
      </c>
      <c r="B58" s="30">
        <f>SUM(B53:B57)</f>
        <v>2420</v>
      </c>
      <c r="C58" s="30">
        <f>SUM(C53:C57)</f>
        <v>2420</v>
      </c>
    </row>
    <row r="59" spans="1:3" x14ac:dyDescent="0.25">
      <c r="A59" s="5" t="s">
        <v>5</v>
      </c>
      <c r="B59" s="29">
        <f>SUM(B53:B57)/36</f>
        <v>67.222222222222229</v>
      </c>
      <c r="C59" s="29">
        <f>SUM(C53:C57)/36</f>
        <v>67.222222222222229</v>
      </c>
    </row>
    <row r="60" spans="1:3" x14ac:dyDescent="0.25">
      <c r="A60" s="2" t="s">
        <v>14</v>
      </c>
      <c r="B60" s="29">
        <f>+B52-B59</f>
        <v>113.68777777777777</v>
      </c>
      <c r="C60" s="29">
        <f>+C52-C59</f>
        <v>75.347777777777765</v>
      </c>
    </row>
    <row r="61" spans="1:3" x14ac:dyDescent="0.25">
      <c r="A61" s="2" t="s">
        <v>17</v>
      </c>
      <c r="B61" s="3">
        <f>B60/B52</f>
        <v>0.62842174439101084</v>
      </c>
      <c r="C61" s="3">
        <f>C60/C52</f>
        <v>0.52849672285738769</v>
      </c>
    </row>
    <row r="62" spans="1:3" x14ac:dyDescent="0.25">
      <c r="A62" s="28" t="s">
        <v>26</v>
      </c>
      <c r="B62" s="29">
        <f>B52*36</f>
        <v>6512.76</v>
      </c>
      <c r="C62" s="29">
        <f>C52*36</f>
        <v>5132.5199999999995</v>
      </c>
    </row>
    <row r="63" spans="1:3" s="23" customFormat="1" x14ac:dyDescent="0.25">
      <c r="A63" s="26" t="s">
        <v>29</v>
      </c>
      <c r="B63" s="27">
        <f>B62-B58</f>
        <v>4092.76</v>
      </c>
      <c r="C63" s="27">
        <f>C62-C58</f>
        <v>2712.5199999999995</v>
      </c>
    </row>
    <row r="64" spans="1:3" x14ac:dyDescent="0.25">
      <c r="A64" s="6"/>
      <c r="B64" s="18"/>
      <c r="C64" s="18"/>
    </row>
  </sheetData>
  <pageMargins left="0.7" right="0.7" top="0.75" bottom="0.75" header="0.3" footer="0.3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Continuous Flow Patients</vt:lpstr>
      <vt:lpstr>Sheet3</vt:lpstr>
    </vt:vector>
  </TitlesOfParts>
  <Company>The Paul Merage School of Business at UC Irvine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Kent</dc:creator>
  <cp:lastModifiedBy>Angelo Audia</cp:lastModifiedBy>
  <cp:lastPrinted>2016-07-22T23:21:48Z</cp:lastPrinted>
  <dcterms:created xsi:type="dcterms:W3CDTF">2014-04-18T16:15:47Z</dcterms:created>
  <dcterms:modified xsi:type="dcterms:W3CDTF">2021-01-11T23:09:16Z</dcterms:modified>
</cp:coreProperties>
</file>